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firstSheet="1" activeTab="1"/>
  </bookViews>
  <sheets>
    <sheet name="附件2 (2023年工资预算)" sheetId="3" state="hidden" r:id="rId1"/>
    <sheet name="附件3" sheetId="1" r:id="rId2"/>
  </sheets>
  <externalReferences>
    <externalReference r:id="rId3"/>
  </externalReferences>
  <definedNames>
    <definedName name="_xlnm._FilterDatabase" localSheetId="1" hidden="1">附件3!$A$3:$I$13</definedName>
    <definedName name="_xlnm._FilterDatabase" localSheetId="0" hidden="1">'附件2 (2023年工资预算)'!$A$6:$R$27</definedName>
  </definedNames>
  <calcPr calcId="144525"/>
</workbook>
</file>

<file path=xl/sharedStrings.xml><?xml version="1.0" encoding="utf-8"?>
<sst xmlns="http://schemas.openxmlformats.org/spreadsheetml/2006/main" count="71">
  <si>
    <t>附件2</t>
  </si>
  <si>
    <t>沙坡头区2023年衔接资金安置脱贫人口公益性岗位名额分配表</t>
  </si>
  <si>
    <t>单位：人、个</t>
  </si>
  <si>
    <t>序号</t>
  </si>
  <si>
    <t>乡镇</t>
  </si>
  <si>
    <t>脱贫人口（已脱贫不享受政策户除外）及未消除风险的监测对象人数</t>
  </si>
  <si>
    <t>截至2023年5月公益性岗位个数</t>
  </si>
  <si>
    <t>2023年衔接资金安置公益岗位类型及分配指标名额</t>
  </si>
  <si>
    <t>备注</t>
  </si>
  <si>
    <t>其中</t>
  </si>
  <si>
    <t>小计</t>
  </si>
  <si>
    <t>2023年新增公益岗指标</t>
  </si>
  <si>
    <t>2023年预算资金</t>
  </si>
  <si>
    <t>生态移民村公益岗</t>
  </si>
  <si>
    <t>防返贫监测员指标</t>
  </si>
  <si>
    <t>劳动力总人数</t>
  </si>
  <si>
    <t>弱劳动力人数</t>
  </si>
  <si>
    <t>民社局
公益性岗位</t>
  </si>
  <si>
    <t>乡村振兴局公益性岗位</t>
  </si>
  <si>
    <t>自然资源局
生态护林员</t>
  </si>
  <si>
    <t>水务局
巡河员</t>
  </si>
  <si>
    <t>行政村</t>
  </si>
  <si>
    <t>指标</t>
  </si>
  <si>
    <t>民社+乡村振兴</t>
  </si>
  <si>
    <t>计数项:人编号</t>
  </si>
  <si>
    <t>有劳动力</t>
  </si>
  <si>
    <t>计数项:证件号码</t>
  </si>
  <si>
    <t>弱劳动力</t>
  </si>
  <si>
    <t>需配公岗</t>
  </si>
  <si>
    <t>迎水桥镇</t>
  </si>
  <si>
    <t>营盘水村</t>
  </si>
  <si>
    <t>乡(镇)</t>
  </si>
  <si>
    <t>汇总</t>
  </si>
  <si>
    <t>51-5+3</t>
  </si>
  <si>
    <t>鸣沙村</t>
  </si>
  <si>
    <t>常乐镇</t>
  </si>
  <si>
    <t>东园镇</t>
  </si>
  <si>
    <t>金沙村</t>
  </si>
  <si>
    <t>瑞应村</t>
  </si>
  <si>
    <t>柔远镇</t>
  </si>
  <si>
    <t>香山乡</t>
  </si>
  <si>
    <t>镇罗镇</t>
  </si>
  <si>
    <t>兴仁镇</t>
  </si>
  <si>
    <t>宣和镇</t>
  </si>
  <si>
    <t>兴海村</t>
  </si>
  <si>
    <t>53-15</t>
  </si>
  <si>
    <t>海和村</t>
  </si>
  <si>
    <t>汪园村</t>
  </si>
  <si>
    <t>永康镇</t>
  </si>
  <si>
    <t>华和村</t>
  </si>
  <si>
    <t>总计</t>
  </si>
  <si>
    <t>康乐村</t>
  </si>
  <si>
    <t>思乐村</t>
  </si>
  <si>
    <t>海乐村</t>
  </si>
  <si>
    <t>泰和村</t>
  </si>
  <si>
    <t>团结村</t>
  </si>
  <si>
    <t>兴盛村</t>
  </si>
  <si>
    <t>川裕村</t>
  </si>
  <si>
    <t>米粮川村</t>
  </si>
  <si>
    <t>81-1</t>
  </si>
  <si>
    <t>梁水村</t>
  </si>
  <si>
    <t>合计</t>
  </si>
  <si>
    <t>附件3</t>
  </si>
  <si>
    <t>衔接资金安置脱贫人口公益性岗位人员信息表</t>
  </si>
  <si>
    <t>姓名</t>
  </si>
  <si>
    <t>身份证号</t>
  </si>
  <si>
    <t>户类型</t>
  </si>
  <si>
    <t>上岗时间</t>
  </si>
  <si>
    <t>具体岗位</t>
  </si>
  <si>
    <t>公益岗位类型</t>
  </si>
  <si>
    <t>备注：
1.户类型结合实际填写脱贫户、未消除风险监测对象（双重身份的填写脱贫户）；
2.上岗时间统一按照“202308”格式填写，表示2023年8月上岗；
3.具体岗位结合实际填写村“两委”后勤保障服务人员、乡村居民公共配送服务人员、人力资源社会保障协理员(从事农村劳动力转移就业、城乡居民社会保险催缴等工作)、乡村护林员、河(渠)道维护员、环境道路保洁员、乡村“老饭桌”服务员、移民社区服务人员、乡村电商综合服务人员、乡村学校安全员、防返贫监测员、扶贫（衔接）资产管理员等；
4.公益岗位类型集结合实际填写2023年新增公益性岗位、移民村公益性岗岗位、防返贫监测员公益性岗位。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</si>
</sst>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8"/>
      <color rgb="FFFF0000"/>
      <name val="方正小标宋_GBK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19" borderId="19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ome\zw\&#26700;&#38754;\\Users\Documents\WeChat%20Files\wxid_sn6tqnctjdud22\FileStorage\File\2023-05\&#33073;&#36139;&#25143;&#12289;&#30417;&#27979;&#23545;&#35937;&#20154;&#21475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政策"/>
      <sheetName val="有劳动力"/>
      <sheetName val="Sheet1"/>
      <sheetName val="有劳动力 (去重)"/>
      <sheetName val="Sheet2"/>
      <sheetName val="弱劳动力"/>
    </sheetNames>
    <sheetDataSet>
      <sheetData sheetId="0"/>
      <sheetData sheetId="1"/>
      <sheetData sheetId="2">
        <row r="3">
          <cell r="A3" t="str">
            <v>计数项:人编号</v>
          </cell>
        </row>
        <row r="4">
          <cell r="A4" t="str">
            <v>乡(镇)</v>
          </cell>
          <cell r="B4" t="str">
            <v>汇总</v>
          </cell>
        </row>
        <row r="5">
          <cell r="A5" t="str">
            <v>常乐镇</v>
          </cell>
          <cell r="B5">
            <v>2075</v>
          </cell>
        </row>
        <row r="6">
          <cell r="A6" t="str">
            <v>东园镇</v>
          </cell>
          <cell r="B6">
            <v>1531</v>
          </cell>
        </row>
        <row r="7">
          <cell r="A7" t="str">
            <v>柔远镇</v>
          </cell>
          <cell r="B7">
            <v>40</v>
          </cell>
        </row>
        <row r="8">
          <cell r="A8" t="str">
            <v>香山乡</v>
          </cell>
          <cell r="B8">
            <v>752</v>
          </cell>
        </row>
        <row r="9">
          <cell r="A9" t="str">
            <v>兴仁镇</v>
          </cell>
          <cell r="B9">
            <v>2562</v>
          </cell>
        </row>
        <row r="10">
          <cell r="A10" t="str">
            <v>宣和镇</v>
          </cell>
          <cell r="B10">
            <v>2557</v>
          </cell>
        </row>
        <row r="11">
          <cell r="A11" t="str">
            <v>迎水桥镇</v>
          </cell>
          <cell r="B11">
            <v>629</v>
          </cell>
        </row>
        <row r="12">
          <cell r="A12" t="str">
            <v>永康镇</v>
          </cell>
          <cell r="B12">
            <v>892</v>
          </cell>
        </row>
        <row r="13">
          <cell r="A13" t="str">
            <v>镇罗镇</v>
          </cell>
          <cell r="B13">
            <v>104</v>
          </cell>
        </row>
        <row r="14">
          <cell r="A14" t="str">
            <v>总计</v>
          </cell>
          <cell r="B14">
            <v>11142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8"/>
  <sheetViews>
    <sheetView zoomScale="115" zoomScaleNormal="115" topLeftCell="A18" workbookViewId="0">
      <selection activeCell="M36" sqref="M27:M36"/>
    </sheetView>
  </sheetViews>
  <sheetFormatPr defaultColWidth="9" defaultRowHeight="13.5"/>
  <cols>
    <col min="1" max="1" width="6.125" customWidth="1"/>
    <col min="2" max="2" width="11.125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75" customWidth="1"/>
    <col min="8" max="8" width="12.375" style="14" customWidth="1"/>
    <col min="9" max="9" width="9.125" style="14" customWidth="1"/>
    <col min="10" max="10" width="7.375" customWidth="1"/>
    <col min="11" max="11" width="12.9333333333333" style="15" customWidth="1"/>
    <col min="12" max="12" width="12.25" customWidth="1"/>
    <col min="13" max="13" width="12.25" style="16" customWidth="1"/>
    <col min="14" max="14" width="12.9333333333333" customWidth="1"/>
    <col min="15" max="16" width="11.625" customWidth="1"/>
    <col min="17" max="17" width="11" customWidth="1"/>
    <col min="18" max="18" width="10.375" customWidth="1"/>
    <col min="19" max="20" width="10.375" hidden="1" customWidth="1"/>
    <col min="21" max="21" width="9" hidden="1" customWidth="1"/>
    <col min="22" max="22" width="9" style="16" hidden="1" customWidth="1"/>
    <col min="23" max="29" width="9" hidden="1" customWidth="1"/>
    <col min="30" max="30" width="2.39166666666667" style="17" hidden="1" customWidth="1"/>
  </cols>
  <sheetData>
    <row r="1" ht="18.75" spans="1:1">
      <c r="A1" s="18" t="s">
        <v>0</v>
      </c>
    </row>
    <row r="2" ht="31" customHeight="1" spans="1:20">
      <c r="A2" s="19" t="s">
        <v>1</v>
      </c>
      <c r="B2" s="19"/>
      <c r="C2" s="19"/>
      <c r="D2" s="19"/>
      <c r="E2" s="19"/>
      <c r="F2" s="19"/>
      <c r="G2" s="19"/>
      <c r="H2" s="20"/>
      <c r="I2" s="20"/>
      <c r="J2" s="19"/>
      <c r="K2" s="35"/>
      <c r="L2" s="19"/>
      <c r="M2" s="19"/>
      <c r="N2" s="19"/>
      <c r="O2" s="19"/>
      <c r="P2" s="19"/>
      <c r="Q2" s="19"/>
      <c r="R2" s="19"/>
      <c r="S2" s="21"/>
      <c r="T2" s="21"/>
    </row>
    <row r="3" ht="23" customHeight="1" spans="1:20">
      <c r="A3" s="19"/>
      <c r="B3" s="19"/>
      <c r="C3" s="21"/>
      <c r="D3" s="21"/>
      <c r="E3" s="21"/>
      <c r="F3" s="21"/>
      <c r="G3" s="21"/>
      <c r="H3" s="22"/>
      <c r="I3" s="22"/>
      <c r="J3" s="21"/>
      <c r="K3" s="36"/>
      <c r="L3" s="21"/>
      <c r="M3" s="21"/>
      <c r="N3" s="21"/>
      <c r="O3" s="37" t="s">
        <v>2</v>
      </c>
      <c r="P3" s="37"/>
      <c r="Q3" s="37"/>
      <c r="R3" s="37"/>
      <c r="S3" s="37"/>
      <c r="T3" s="37"/>
    </row>
    <row r="4" s="13" customFormat="1" ht="30" customHeight="1" spans="1:30">
      <c r="A4" s="23" t="s">
        <v>3</v>
      </c>
      <c r="B4" s="23" t="s">
        <v>4</v>
      </c>
      <c r="C4" s="24" t="s">
        <v>5</v>
      </c>
      <c r="D4" s="24"/>
      <c r="E4" s="25" t="s">
        <v>6</v>
      </c>
      <c r="F4" s="26"/>
      <c r="G4" s="26"/>
      <c r="H4" s="27"/>
      <c r="I4" s="27"/>
      <c r="J4" s="24" t="s">
        <v>7</v>
      </c>
      <c r="K4" s="38"/>
      <c r="L4" s="24"/>
      <c r="M4" s="24"/>
      <c r="N4" s="24"/>
      <c r="O4" s="24"/>
      <c r="P4" s="24"/>
      <c r="Q4" s="24"/>
      <c r="R4" s="23" t="s">
        <v>8</v>
      </c>
      <c r="S4" s="46"/>
      <c r="T4" s="46"/>
      <c r="V4" s="47"/>
      <c r="AD4" s="51"/>
    </row>
    <row r="5" s="13" customFormat="1" ht="34" customHeight="1" spans="1:30">
      <c r="A5" s="28"/>
      <c r="B5" s="28"/>
      <c r="C5" s="24"/>
      <c r="D5" s="24"/>
      <c r="E5" s="29"/>
      <c r="F5" s="24" t="s">
        <v>9</v>
      </c>
      <c r="G5" s="24"/>
      <c r="H5" s="30"/>
      <c r="I5" s="30"/>
      <c r="J5" s="24" t="s">
        <v>10</v>
      </c>
      <c r="K5" s="38"/>
      <c r="L5" s="24" t="s">
        <v>11</v>
      </c>
      <c r="M5" s="23" t="s">
        <v>12</v>
      </c>
      <c r="N5" s="39" t="s">
        <v>13</v>
      </c>
      <c r="O5" s="40"/>
      <c r="P5" s="41"/>
      <c r="Q5" s="24" t="s">
        <v>14</v>
      </c>
      <c r="R5" s="28"/>
      <c r="S5" s="46"/>
      <c r="T5" s="46"/>
      <c r="V5" s="47"/>
      <c r="AD5" s="51"/>
    </row>
    <row r="6" s="13" customFormat="1" ht="51" customHeight="1" spans="1:30">
      <c r="A6" s="28"/>
      <c r="B6" s="28"/>
      <c r="C6" s="24" t="s">
        <v>15</v>
      </c>
      <c r="D6" s="24" t="s">
        <v>16</v>
      </c>
      <c r="E6" s="31"/>
      <c r="F6" s="24" t="s">
        <v>17</v>
      </c>
      <c r="G6" s="24" t="s">
        <v>18</v>
      </c>
      <c r="H6" s="32" t="s">
        <v>19</v>
      </c>
      <c r="I6" s="32" t="s">
        <v>20</v>
      </c>
      <c r="J6" s="24"/>
      <c r="K6" s="38"/>
      <c r="L6" s="24"/>
      <c r="M6" s="42"/>
      <c r="N6" s="24" t="s">
        <v>21</v>
      </c>
      <c r="O6" s="24" t="s">
        <v>22</v>
      </c>
      <c r="P6" s="24"/>
      <c r="Q6" s="24"/>
      <c r="R6" s="42"/>
      <c r="S6" s="46" t="s">
        <v>23</v>
      </c>
      <c r="T6" s="46"/>
      <c r="V6" s="47"/>
      <c r="W6" s="13" t="s">
        <v>24</v>
      </c>
      <c r="X6" s="13" t="s">
        <v>25</v>
      </c>
      <c r="Z6" s="13" t="s">
        <v>26</v>
      </c>
      <c r="AA6" s="13" t="s">
        <v>27</v>
      </c>
      <c r="AD6" s="51" t="s">
        <v>28</v>
      </c>
    </row>
    <row r="7" s="13" customFormat="1" ht="25" customHeight="1" spans="1:30">
      <c r="A7" s="24">
        <v>1</v>
      </c>
      <c r="B7" s="24" t="s">
        <v>29</v>
      </c>
      <c r="C7" s="24">
        <f>VLOOKUP(B:B,[1]Sheet1!$A$1:$B$65536,2,0)</f>
        <v>629</v>
      </c>
      <c r="D7" s="24">
        <v>199</v>
      </c>
      <c r="E7" s="33">
        <v>49</v>
      </c>
      <c r="F7" s="33">
        <f>E7-G7-H7-I7</f>
        <v>14</v>
      </c>
      <c r="G7" s="33">
        <v>4</v>
      </c>
      <c r="H7" s="33">
        <v>31</v>
      </c>
      <c r="I7" s="33">
        <v>0</v>
      </c>
      <c r="J7" s="24">
        <f>L7+O7+O8</f>
        <v>18</v>
      </c>
      <c r="K7" s="38">
        <f>M7+P7+P8</f>
        <v>110384.36</v>
      </c>
      <c r="L7" s="32">
        <v>14</v>
      </c>
      <c r="M7" s="43">
        <f>L7*6*1199.83</f>
        <v>100785.72</v>
      </c>
      <c r="N7" s="24" t="s">
        <v>30</v>
      </c>
      <c r="O7" s="24">
        <v>2</v>
      </c>
      <c r="P7" s="24">
        <f>O7*2*1199.83</f>
        <v>4799.32</v>
      </c>
      <c r="Q7" s="24"/>
      <c r="R7" s="24"/>
      <c r="S7" s="46">
        <f t="shared" ref="S7:S13" si="0">F7+G7</f>
        <v>18</v>
      </c>
      <c r="T7" s="46">
        <f t="shared" ref="T7:T27" si="1">F7+J7</f>
        <v>32</v>
      </c>
      <c r="U7" s="13">
        <f t="shared" ref="U7:U26" si="2">C7*0.045+D7*0.055</f>
        <v>39.25</v>
      </c>
      <c r="V7" s="47">
        <v>39</v>
      </c>
      <c r="W7" s="13" t="s">
        <v>31</v>
      </c>
      <c r="X7" s="13" t="s">
        <v>32</v>
      </c>
      <c r="Z7" s="13" t="s">
        <v>31</v>
      </c>
      <c r="AA7" s="13" t="s">
        <v>32</v>
      </c>
      <c r="AB7" s="47">
        <v>39</v>
      </c>
      <c r="AC7" s="13" t="s">
        <v>33</v>
      </c>
      <c r="AD7" s="51">
        <f t="shared" ref="AD7:AD26" si="3">U7/2.7</f>
        <v>14.537037037037</v>
      </c>
    </row>
    <row r="8" s="13" customFormat="1" ht="25" customHeight="1" spans="1:30">
      <c r="A8" s="24"/>
      <c r="B8" s="24"/>
      <c r="C8" s="24"/>
      <c r="D8" s="24"/>
      <c r="E8" s="33"/>
      <c r="F8" s="33"/>
      <c r="G8" s="33"/>
      <c r="H8" s="33"/>
      <c r="I8" s="33"/>
      <c r="J8" s="24"/>
      <c r="K8" s="38"/>
      <c r="L8" s="32"/>
      <c r="M8" s="44"/>
      <c r="N8" s="24" t="s">
        <v>34</v>
      </c>
      <c r="O8" s="24">
        <v>2</v>
      </c>
      <c r="P8" s="24">
        <f>O8*2*1199.83</f>
        <v>4799.32</v>
      </c>
      <c r="Q8" s="24"/>
      <c r="R8" s="24"/>
      <c r="S8" s="46"/>
      <c r="T8" s="46">
        <f t="shared" si="1"/>
        <v>0</v>
      </c>
      <c r="U8" s="13">
        <f t="shared" si="2"/>
        <v>0</v>
      </c>
      <c r="V8" s="47"/>
      <c r="W8" s="13" t="s">
        <v>35</v>
      </c>
      <c r="X8" s="13">
        <v>2075</v>
      </c>
      <c r="Z8" s="13" t="s">
        <v>35</v>
      </c>
      <c r="AA8" s="13">
        <v>406</v>
      </c>
      <c r="AB8" s="47"/>
      <c r="AD8" s="51">
        <f t="shared" si="3"/>
        <v>0</v>
      </c>
    </row>
    <row r="9" s="13" customFormat="1" ht="25" customHeight="1" spans="1:30">
      <c r="A9" s="24">
        <v>2</v>
      </c>
      <c r="B9" s="24" t="s">
        <v>36</v>
      </c>
      <c r="C9" s="24">
        <v>1531</v>
      </c>
      <c r="D9" s="24">
        <v>410</v>
      </c>
      <c r="E9" s="33">
        <v>24</v>
      </c>
      <c r="F9" s="33">
        <f>E9-G9-H9-I9</f>
        <v>13</v>
      </c>
      <c r="G9" s="33">
        <v>7</v>
      </c>
      <c r="H9" s="33">
        <v>0</v>
      </c>
      <c r="I9" s="33">
        <v>4</v>
      </c>
      <c r="J9" s="24">
        <f>L9+O9+O10+Q9</f>
        <v>41</v>
      </c>
      <c r="K9" s="38">
        <f>M9+P9+P10+R9</f>
        <v>275960.9</v>
      </c>
      <c r="L9" s="32">
        <v>34</v>
      </c>
      <c r="M9" s="43">
        <f>L9*6*1199.83</f>
        <v>244765.32</v>
      </c>
      <c r="N9" s="24" t="s">
        <v>37</v>
      </c>
      <c r="O9" s="24">
        <v>4</v>
      </c>
      <c r="P9" s="24">
        <f>4*4*1199.83</f>
        <v>19197.28</v>
      </c>
      <c r="Q9" s="24">
        <v>1</v>
      </c>
      <c r="R9" s="24">
        <f>Q9*2*1199.83</f>
        <v>2399.66</v>
      </c>
      <c r="S9" s="46">
        <f t="shared" si="0"/>
        <v>20</v>
      </c>
      <c r="T9" s="46">
        <f t="shared" si="1"/>
        <v>54</v>
      </c>
      <c r="U9" s="13">
        <f t="shared" si="2"/>
        <v>91.445</v>
      </c>
      <c r="V9" s="47">
        <v>91</v>
      </c>
      <c r="W9" s="13" t="s">
        <v>36</v>
      </c>
      <c r="X9" s="13">
        <v>1531</v>
      </c>
      <c r="Z9" s="13" t="s">
        <v>36</v>
      </c>
      <c r="AA9" s="13">
        <v>410</v>
      </c>
      <c r="AB9" s="47">
        <v>91</v>
      </c>
      <c r="AD9" s="51">
        <f t="shared" si="3"/>
        <v>33.8685185185185</v>
      </c>
    </row>
    <row r="10" s="13" customFormat="1" ht="25" customHeight="1" spans="1:30">
      <c r="A10" s="24"/>
      <c r="B10" s="24"/>
      <c r="C10" s="24"/>
      <c r="D10" s="24"/>
      <c r="E10" s="33"/>
      <c r="F10" s="33"/>
      <c r="G10" s="33"/>
      <c r="H10" s="33"/>
      <c r="I10" s="33"/>
      <c r="J10" s="24"/>
      <c r="K10" s="38"/>
      <c r="L10" s="32"/>
      <c r="M10" s="44"/>
      <c r="N10" s="24" t="s">
        <v>38</v>
      </c>
      <c r="O10" s="24">
        <v>2</v>
      </c>
      <c r="P10" s="24">
        <f>O10*4*1199.83</f>
        <v>9598.64</v>
      </c>
      <c r="Q10" s="24"/>
      <c r="R10" s="24"/>
      <c r="S10" s="46"/>
      <c r="T10" s="46">
        <f t="shared" si="1"/>
        <v>0</v>
      </c>
      <c r="U10" s="13">
        <f t="shared" si="2"/>
        <v>0</v>
      </c>
      <c r="V10" s="47"/>
      <c r="W10" s="13" t="s">
        <v>39</v>
      </c>
      <c r="X10" s="13">
        <v>40</v>
      </c>
      <c r="Z10" s="13" t="s">
        <v>39</v>
      </c>
      <c r="AA10" s="13">
        <v>10</v>
      </c>
      <c r="AB10" s="47"/>
      <c r="AD10" s="51">
        <f t="shared" si="3"/>
        <v>0</v>
      </c>
    </row>
    <row r="11" s="13" customFormat="1" ht="25" customHeight="1" spans="1:30">
      <c r="A11" s="24">
        <v>3</v>
      </c>
      <c r="B11" s="24" t="s">
        <v>39</v>
      </c>
      <c r="C11" s="24">
        <v>40</v>
      </c>
      <c r="D11" s="24">
        <v>10</v>
      </c>
      <c r="E11" s="33">
        <v>1</v>
      </c>
      <c r="F11" s="33">
        <v>1</v>
      </c>
      <c r="G11" s="33">
        <v>0</v>
      </c>
      <c r="H11" s="33">
        <v>0</v>
      </c>
      <c r="I11" s="33">
        <v>0</v>
      </c>
      <c r="J11" s="24">
        <f>L11</f>
        <v>1</v>
      </c>
      <c r="K11" s="38">
        <f>M11</f>
        <v>7198.98</v>
      </c>
      <c r="L11" s="32">
        <v>1</v>
      </c>
      <c r="M11" s="43">
        <f>L11*6*1199.83</f>
        <v>7198.98</v>
      </c>
      <c r="N11" s="24"/>
      <c r="O11" s="24"/>
      <c r="P11" s="24"/>
      <c r="Q11" s="24"/>
      <c r="R11" s="24"/>
      <c r="S11" s="46">
        <f t="shared" si="0"/>
        <v>1</v>
      </c>
      <c r="T11" s="46">
        <f t="shared" si="1"/>
        <v>2</v>
      </c>
      <c r="U11" s="13">
        <f t="shared" si="2"/>
        <v>2.35</v>
      </c>
      <c r="V11" s="47">
        <v>2</v>
      </c>
      <c r="W11" s="13" t="s">
        <v>40</v>
      </c>
      <c r="X11" s="13">
        <v>752</v>
      </c>
      <c r="Z11" s="13" t="s">
        <v>40</v>
      </c>
      <c r="AA11" s="13">
        <v>282</v>
      </c>
      <c r="AB11" s="47">
        <v>2</v>
      </c>
      <c r="AD11" s="51">
        <f t="shared" si="3"/>
        <v>0.87037037037037</v>
      </c>
    </row>
    <row r="12" s="13" customFormat="1" ht="25" customHeight="1" spans="1:30">
      <c r="A12" s="24">
        <v>4</v>
      </c>
      <c r="B12" s="24" t="s">
        <v>41</v>
      </c>
      <c r="C12" s="24">
        <v>104</v>
      </c>
      <c r="D12" s="24">
        <v>36</v>
      </c>
      <c r="E12" s="33">
        <v>4</v>
      </c>
      <c r="F12" s="33">
        <v>4</v>
      </c>
      <c r="G12" s="33">
        <v>0</v>
      </c>
      <c r="H12" s="33">
        <v>0</v>
      </c>
      <c r="I12" s="33">
        <v>0</v>
      </c>
      <c r="J12" s="24">
        <f>L12</f>
        <v>2</v>
      </c>
      <c r="K12" s="38">
        <f>M12</f>
        <v>14397.96</v>
      </c>
      <c r="L12" s="32">
        <v>2</v>
      </c>
      <c r="M12" s="44">
        <f>L12*1199.83*6</f>
        <v>14397.96</v>
      </c>
      <c r="N12" s="24"/>
      <c r="O12" s="24"/>
      <c r="P12" s="24"/>
      <c r="Q12" s="24"/>
      <c r="R12" s="24"/>
      <c r="S12" s="46">
        <f t="shared" si="0"/>
        <v>4</v>
      </c>
      <c r="T12" s="46">
        <f t="shared" si="1"/>
        <v>6</v>
      </c>
      <c r="U12" s="13">
        <f t="shared" si="2"/>
        <v>6.66</v>
      </c>
      <c r="V12" s="47">
        <v>7</v>
      </c>
      <c r="W12" s="13" t="s">
        <v>42</v>
      </c>
      <c r="X12" s="13">
        <v>2562</v>
      </c>
      <c r="Z12" s="13" t="s">
        <v>42</v>
      </c>
      <c r="AA12" s="13">
        <v>481</v>
      </c>
      <c r="AB12" s="47">
        <v>7</v>
      </c>
      <c r="AD12" s="51">
        <f t="shared" si="3"/>
        <v>2.46666666666667</v>
      </c>
    </row>
    <row r="13" s="13" customFormat="1" ht="25" customHeight="1" spans="1:30">
      <c r="A13" s="24">
        <v>5</v>
      </c>
      <c r="B13" s="24" t="s">
        <v>43</v>
      </c>
      <c r="C13" s="24">
        <v>2557</v>
      </c>
      <c r="D13" s="24">
        <v>616</v>
      </c>
      <c r="E13" s="33">
        <v>38</v>
      </c>
      <c r="F13" s="33">
        <f t="shared" ref="F13:F18" si="4">E13-G13-H13-I13</f>
        <v>22</v>
      </c>
      <c r="G13" s="33">
        <v>16</v>
      </c>
      <c r="H13" s="33">
        <v>0</v>
      </c>
      <c r="I13" s="33">
        <v>0</v>
      </c>
      <c r="J13" s="24">
        <f>L13+O13+O14+Q15+Q16</f>
        <v>71</v>
      </c>
      <c r="K13" s="38">
        <f>M13+P13+P14+R15+R16</f>
        <v>434338.46</v>
      </c>
      <c r="L13" s="32">
        <v>55</v>
      </c>
      <c r="M13" s="43">
        <f>L13*6*1199.83</f>
        <v>395943.9</v>
      </c>
      <c r="N13" s="24" t="s">
        <v>44</v>
      </c>
      <c r="O13" s="24">
        <v>6</v>
      </c>
      <c r="P13" s="24">
        <f>O13*2*1199.83</f>
        <v>14397.96</v>
      </c>
      <c r="Q13" s="24"/>
      <c r="R13" s="24"/>
      <c r="S13" s="46">
        <f t="shared" si="0"/>
        <v>38</v>
      </c>
      <c r="T13" s="46">
        <f t="shared" si="1"/>
        <v>93</v>
      </c>
      <c r="U13" s="13">
        <f t="shared" si="2"/>
        <v>148.945</v>
      </c>
      <c r="V13" s="47">
        <v>149</v>
      </c>
      <c r="W13" s="13" t="s">
        <v>43</v>
      </c>
      <c r="X13" s="13">
        <v>2557</v>
      </c>
      <c r="Z13" s="13" t="s">
        <v>43</v>
      </c>
      <c r="AA13" s="13">
        <v>616</v>
      </c>
      <c r="AB13" s="47">
        <v>149</v>
      </c>
      <c r="AC13" s="13" t="s">
        <v>45</v>
      </c>
      <c r="AD13" s="51">
        <f t="shared" si="3"/>
        <v>55.1648148148148</v>
      </c>
    </row>
    <row r="14" s="13" customFormat="1" ht="25" customHeight="1" spans="1:30">
      <c r="A14" s="24"/>
      <c r="B14" s="24"/>
      <c r="C14" s="24"/>
      <c r="D14" s="24"/>
      <c r="E14" s="33"/>
      <c r="F14" s="33"/>
      <c r="G14" s="33"/>
      <c r="H14" s="33"/>
      <c r="I14" s="33"/>
      <c r="J14" s="24"/>
      <c r="K14" s="38"/>
      <c r="L14" s="32"/>
      <c r="M14" s="32"/>
      <c r="N14" s="24" t="s">
        <v>46</v>
      </c>
      <c r="O14" s="24">
        <v>8</v>
      </c>
      <c r="P14" s="24">
        <f>O14*2*1199.83</f>
        <v>19197.28</v>
      </c>
      <c r="Q14" s="24"/>
      <c r="R14" s="24"/>
      <c r="S14" s="46"/>
      <c r="T14" s="46">
        <f t="shared" si="1"/>
        <v>0</v>
      </c>
      <c r="U14" s="13">
        <f t="shared" si="2"/>
        <v>0</v>
      </c>
      <c r="V14" s="47"/>
      <c r="W14" s="13" t="s">
        <v>29</v>
      </c>
      <c r="X14" s="13">
        <v>629</v>
      </c>
      <c r="Z14" s="13" t="s">
        <v>29</v>
      </c>
      <c r="AA14" s="13">
        <v>199</v>
      </c>
      <c r="AB14" s="47"/>
      <c r="AD14" s="51">
        <f t="shared" si="3"/>
        <v>0</v>
      </c>
    </row>
    <row r="15" s="13" customFormat="1" ht="25" customHeight="1" spans="1:30">
      <c r="A15" s="24"/>
      <c r="B15" s="24"/>
      <c r="C15" s="24"/>
      <c r="D15" s="24"/>
      <c r="E15" s="33"/>
      <c r="F15" s="33"/>
      <c r="G15" s="33"/>
      <c r="H15" s="33"/>
      <c r="I15" s="33"/>
      <c r="J15" s="24"/>
      <c r="K15" s="38"/>
      <c r="L15" s="32"/>
      <c r="M15" s="32"/>
      <c r="N15" s="24" t="s">
        <v>47</v>
      </c>
      <c r="O15" s="24"/>
      <c r="P15" s="24"/>
      <c r="Q15" s="48">
        <v>1</v>
      </c>
      <c r="R15" s="24">
        <f>Q15*2*1199.83</f>
        <v>2399.66</v>
      </c>
      <c r="S15" s="46"/>
      <c r="T15" s="46">
        <f t="shared" si="1"/>
        <v>0</v>
      </c>
      <c r="U15" s="13">
        <f t="shared" si="2"/>
        <v>0</v>
      </c>
      <c r="V15" s="47"/>
      <c r="W15" s="13" t="s">
        <v>48</v>
      </c>
      <c r="X15" s="13">
        <v>892</v>
      </c>
      <c r="Z15" s="13" t="s">
        <v>48</v>
      </c>
      <c r="AA15" s="13">
        <v>338</v>
      </c>
      <c r="AB15" s="47"/>
      <c r="AD15" s="51">
        <f t="shared" si="3"/>
        <v>0</v>
      </c>
    </row>
    <row r="16" s="13" customFormat="1" ht="25" customHeight="1" spans="1:30">
      <c r="A16" s="24"/>
      <c r="B16" s="24"/>
      <c r="C16" s="24"/>
      <c r="D16" s="24"/>
      <c r="E16" s="33"/>
      <c r="F16" s="33"/>
      <c r="G16" s="33"/>
      <c r="H16" s="33"/>
      <c r="I16" s="33"/>
      <c r="J16" s="24"/>
      <c r="K16" s="38"/>
      <c r="L16" s="32"/>
      <c r="M16" s="32"/>
      <c r="N16" s="24" t="s">
        <v>49</v>
      </c>
      <c r="O16" s="24"/>
      <c r="P16" s="24"/>
      <c r="Q16" s="24">
        <v>1</v>
      </c>
      <c r="R16" s="24">
        <f>Q16*2*1199.83</f>
        <v>2399.66</v>
      </c>
      <c r="S16" s="46"/>
      <c r="T16" s="46">
        <f t="shared" si="1"/>
        <v>0</v>
      </c>
      <c r="U16" s="13">
        <f t="shared" si="2"/>
        <v>0</v>
      </c>
      <c r="V16" s="47"/>
      <c r="W16" s="13" t="s">
        <v>41</v>
      </c>
      <c r="X16" s="13">
        <v>104</v>
      </c>
      <c r="Z16" s="13" t="s">
        <v>41</v>
      </c>
      <c r="AA16" s="13">
        <v>36</v>
      </c>
      <c r="AB16" s="47"/>
      <c r="AD16" s="51">
        <f t="shared" si="3"/>
        <v>0</v>
      </c>
    </row>
    <row r="17" s="13" customFormat="1" ht="25" customHeight="1" spans="1:30">
      <c r="A17" s="24">
        <v>6</v>
      </c>
      <c r="B17" s="24" t="s">
        <v>48</v>
      </c>
      <c r="C17" s="24">
        <v>892</v>
      </c>
      <c r="D17" s="24">
        <v>338</v>
      </c>
      <c r="E17" s="33">
        <v>34</v>
      </c>
      <c r="F17" s="33">
        <f t="shared" si="4"/>
        <v>22</v>
      </c>
      <c r="G17" s="33">
        <v>0</v>
      </c>
      <c r="H17" s="33">
        <v>9</v>
      </c>
      <c r="I17" s="33">
        <v>3</v>
      </c>
      <c r="J17" s="24">
        <f>L17</f>
        <v>22</v>
      </c>
      <c r="K17" s="38">
        <f>M17</f>
        <v>158377.56</v>
      </c>
      <c r="L17" s="32">
        <v>22</v>
      </c>
      <c r="M17" s="43">
        <f>L17*6*1199.83</f>
        <v>158377.56</v>
      </c>
      <c r="N17" s="24"/>
      <c r="O17" s="24"/>
      <c r="P17" s="24"/>
      <c r="Q17" s="24"/>
      <c r="R17" s="24"/>
      <c r="S17" s="46">
        <f t="shared" ref="S17:S21" si="5">F17+G17</f>
        <v>22</v>
      </c>
      <c r="T17" s="46">
        <f t="shared" si="1"/>
        <v>44</v>
      </c>
      <c r="U17" s="13">
        <f t="shared" si="2"/>
        <v>58.73</v>
      </c>
      <c r="V17" s="47">
        <v>59</v>
      </c>
      <c r="W17" s="13" t="s">
        <v>50</v>
      </c>
      <c r="X17" s="13">
        <v>11142</v>
      </c>
      <c r="Z17" s="13" t="s">
        <v>50</v>
      </c>
      <c r="AA17" s="13">
        <v>2778</v>
      </c>
      <c r="AB17" s="47">
        <v>59</v>
      </c>
      <c r="AD17" s="51">
        <f t="shared" si="3"/>
        <v>21.7518518518519</v>
      </c>
    </row>
    <row r="18" s="13" customFormat="1" ht="25" customHeight="1" spans="1:30">
      <c r="A18" s="24">
        <v>7</v>
      </c>
      <c r="B18" s="24" t="s">
        <v>35</v>
      </c>
      <c r="C18" s="24">
        <v>2075</v>
      </c>
      <c r="D18" s="24">
        <v>406</v>
      </c>
      <c r="E18" s="33">
        <v>58</v>
      </c>
      <c r="F18" s="33">
        <f t="shared" si="4"/>
        <v>13</v>
      </c>
      <c r="G18" s="33">
        <v>27</v>
      </c>
      <c r="H18" s="33">
        <v>16</v>
      </c>
      <c r="I18" s="33">
        <v>2</v>
      </c>
      <c r="J18" s="24">
        <f>O18+O19+O20+L18</f>
        <v>70</v>
      </c>
      <c r="K18" s="38">
        <f>P18+P19+P20+M18</f>
        <v>439137.78</v>
      </c>
      <c r="L18" s="32">
        <v>43</v>
      </c>
      <c r="M18" s="44">
        <f>L18*6*1199.83</f>
        <v>309556.14</v>
      </c>
      <c r="N18" s="24" t="s">
        <v>51</v>
      </c>
      <c r="O18" s="24">
        <v>10</v>
      </c>
      <c r="P18" s="24">
        <f>O18*4*1199.83</f>
        <v>47993.2</v>
      </c>
      <c r="Q18" s="24"/>
      <c r="R18" s="24"/>
      <c r="S18" s="46">
        <f t="shared" si="5"/>
        <v>40</v>
      </c>
      <c r="T18" s="46">
        <f t="shared" si="1"/>
        <v>83</v>
      </c>
      <c r="U18" s="13">
        <f t="shared" si="2"/>
        <v>115.705</v>
      </c>
      <c r="V18" s="47">
        <v>116</v>
      </c>
      <c r="AB18" s="47">
        <v>116</v>
      </c>
      <c r="AD18" s="51">
        <f t="shared" si="3"/>
        <v>42.8537037037037</v>
      </c>
    </row>
    <row r="19" s="13" customFormat="1" ht="25" customHeight="1" spans="1:30">
      <c r="A19" s="24"/>
      <c r="B19" s="24"/>
      <c r="C19" s="24"/>
      <c r="D19" s="24"/>
      <c r="E19" s="33"/>
      <c r="F19" s="33"/>
      <c r="G19" s="33"/>
      <c r="H19" s="33"/>
      <c r="I19" s="33"/>
      <c r="J19" s="24"/>
      <c r="K19" s="38"/>
      <c r="L19" s="32"/>
      <c r="M19" s="43">
        <f>L19*6*1199.83</f>
        <v>0</v>
      </c>
      <c r="N19" s="24" t="s">
        <v>52</v>
      </c>
      <c r="O19" s="24">
        <v>10</v>
      </c>
      <c r="P19" s="24">
        <f>O19*4*1199.83</f>
        <v>47993.2</v>
      </c>
      <c r="Q19" s="24"/>
      <c r="R19" s="24"/>
      <c r="S19" s="46"/>
      <c r="T19" s="46">
        <f t="shared" si="1"/>
        <v>0</v>
      </c>
      <c r="U19" s="13">
        <f t="shared" si="2"/>
        <v>0</v>
      </c>
      <c r="V19" s="47"/>
      <c r="AB19" s="47"/>
      <c r="AD19" s="51">
        <f t="shared" si="3"/>
        <v>0</v>
      </c>
    </row>
    <row r="20" s="13" customFormat="1" ht="25" customHeight="1" spans="1:30">
      <c r="A20" s="24"/>
      <c r="B20" s="24"/>
      <c r="C20" s="24"/>
      <c r="D20" s="24"/>
      <c r="E20" s="33"/>
      <c r="F20" s="33"/>
      <c r="G20" s="33"/>
      <c r="H20" s="33"/>
      <c r="I20" s="33"/>
      <c r="J20" s="24"/>
      <c r="K20" s="38"/>
      <c r="L20" s="32"/>
      <c r="M20" s="44"/>
      <c r="N20" s="24" t="s">
        <v>53</v>
      </c>
      <c r="O20" s="24">
        <v>7</v>
      </c>
      <c r="P20" s="24">
        <f>O20*4*1199.83</f>
        <v>33595.24</v>
      </c>
      <c r="Q20" s="24"/>
      <c r="R20" s="24"/>
      <c r="S20" s="46"/>
      <c r="T20" s="46">
        <f t="shared" si="1"/>
        <v>0</v>
      </c>
      <c r="U20" s="13">
        <f t="shared" si="2"/>
        <v>0</v>
      </c>
      <c r="V20" s="47"/>
      <c r="AB20" s="47"/>
      <c r="AD20" s="51">
        <f t="shared" si="3"/>
        <v>0</v>
      </c>
    </row>
    <row r="21" s="13" customFormat="1" ht="25" customHeight="1" spans="1:30">
      <c r="A21" s="24">
        <v>8</v>
      </c>
      <c r="B21" s="24" t="s">
        <v>42</v>
      </c>
      <c r="C21" s="24">
        <v>2562</v>
      </c>
      <c r="D21" s="24">
        <v>481</v>
      </c>
      <c r="E21" s="33">
        <v>125</v>
      </c>
      <c r="F21" s="33">
        <f>E21-G21-H21-I21</f>
        <v>34</v>
      </c>
      <c r="G21" s="33">
        <v>10</v>
      </c>
      <c r="H21" s="33">
        <v>80</v>
      </c>
      <c r="I21" s="33">
        <v>1</v>
      </c>
      <c r="J21" s="24">
        <f>L21+O21+Q21+Q22+O23+O24</f>
        <v>62</v>
      </c>
      <c r="K21" s="38">
        <f>M21+P21+P23+P24+R22+R21</f>
        <v>386345.26</v>
      </c>
      <c r="L21" s="32">
        <v>52</v>
      </c>
      <c r="M21" s="43">
        <f>L21*6*1199.83</f>
        <v>374346.96</v>
      </c>
      <c r="N21" s="24" t="s">
        <v>54</v>
      </c>
      <c r="O21" s="24">
        <v>5</v>
      </c>
      <c r="P21" s="24">
        <f>O21*1*1199.83</f>
        <v>5999.15</v>
      </c>
      <c r="Q21" s="24">
        <v>1</v>
      </c>
      <c r="R21" s="24">
        <f>Q21*1*1199.83</f>
        <v>1199.83</v>
      </c>
      <c r="S21" s="46">
        <f t="shared" si="5"/>
        <v>44</v>
      </c>
      <c r="T21" s="46">
        <f t="shared" si="1"/>
        <v>96</v>
      </c>
      <c r="U21" s="13">
        <f t="shared" si="2"/>
        <v>141.745</v>
      </c>
      <c r="V21" s="47">
        <v>142</v>
      </c>
      <c r="AB21" s="47">
        <v>142</v>
      </c>
      <c r="AD21" s="51">
        <f t="shared" si="3"/>
        <v>52.4981481481481</v>
      </c>
    </row>
    <row r="22" s="13" customFormat="1" ht="25" customHeight="1" spans="1:30">
      <c r="A22" s="24"/>
      <c r="B22" s="24"/>
      <c r="C22" s="24"/>
      <c r="D22" s="24"/>
      <c r="E22" s="33"/>
      <c r="F22" s="33"/>
      <c r="G22" s="33"/>
      <c r="H22" s="33"/>
      <c r="I22" s="33"/>
      <c r="J22" s="24"/>
      <c r="K22" s="38"/>
      <c r="L22" s="32"/>
      <c r="M22" s="44"/>
      <c r="N22" s="32" t="s">
        <v>55</v>
      </c>
      <c r="O22" s="45"/>
      <c r="P22" s="24">
        <f>O22*1*1199.83</f>
        <v>0</v>
      </c>
      <c r="Q22" s="49">
        <v>1</v>
      </c>
      <c r="R22" s="24">
        <f>Q22*1*1199.83</f>
        <v>1199.83</v>
      </c>
      <c r="S22" s="46"/>
      <c r="T22" s="46">
        <f t="shared" si="1"/>
        <v>0</v>
      </c>
      <c r="U22" s="13">
        <f t="shared" si="2"/>
        <v>0</v>
      </c>
      <c r="V22" s="47"/>
      <c r="AB22" s="47"/>
      <c r="AD22" s="51">
        <f t="shared" si="3"/>
        <v>0</v>
      </c>
    </row>
    <row r="23" s="13" customFormat="1" ht="25" customHeight="1" spans="1:30">
      <c r="A23" s="24"/>
      <c r="B23" s="24"/>
      <c r="C23" s="24"/>
      <c r="D23" s="24"/>
      <c r="E23" s="33"/>
      <c r="F23" s="33"/>
      <c r="G23" s="33"/>
      <c r="H23" s="33"/>
      <c r="I23" s="33"/>
      <c r="J23" s="24"/>
      <c r="K23" s="38"/>
      <c r="L23" s="32"/>
      <c r="M23" s="43">
        <f>L23*6*1199.83</f>
        <v>0</v>
      </c>
      <c r="N23" s="24" t="s">
        <v>56</v>
      </c>
      <c r="O23" s="24">
        <v>1</v>
      </c>
      <c r="P23" s="24">
        <f>O23*1*1199.83</f>
        <v>1199.83</v>
      </c>
      <c r="Q23" s="24"/>
      <c r="R23" s="24">
        <f>Q23*1*1199.83</f>
        <v>0</v>
      </c>
      <c r="S23" s="46"/>
      <c r="T23" s="46">
        <f t="shared" si="1"/>
        <v>0</v>
      </c>
      <c r="U23" s="13">
        <f t="shared" si="2"/>
        <v>0</v>
      </c>
      <c r="V23" s="47"/>
      <c r="AB23" s="47"/>
      <c r="AD23" s="51">
        <f t="shared" si="3"/>
        <v>0</v>
      </c>
    </row>
    <row r="24" s="13" customFormat="1" ht="25" customHeight="1" spans="1:30">
      <c r="A24" s="24"/>
      <c r="B24" s="24"/>
      <c r="C24" s="24"/>
      <c r="D24" s="24"/>
      <c r="E24" s="33"/>
      <c r="F24" s="33"/>
      <c r="G24" s="33"/>
      <c r="H24" s="33"/>
      <c r="I24" s="33"/>
      <c r="J24" s="24"/>
      <c r="K24" s="38"/>
      <c r="L24" s="32"/>
      <c r="M24" s="44"/>
      <c r="N24" s="24" t="s">
        <v>57</v>
      </c>
      <c r="O24" s="24">
        <v>2</v>
      </c>
      <c r="P24" s="24">
        <f>O24*1*1199.83</f>
        <v>2399.66</v>
      </c>
      <c r="Q24" s="24"/>
      <c r="R24" s="24">
        <f>Q24*1*1199.83</f>
        <v>0</v>
      </c>
      <c r="S24" s="46"/>
      <c r="T24" s="46">
        <f t="shared" si="1"/>
        <v>0</v>
      </c>
      <c r="U24" s="13">
        <f t="shared" si="2"/>
        <v>0</v>
      </c>
      <c r="V24" s="47"/>
      <c r="AB24" s="47"/>
      <c r="AD24" s="51">
        <f t="shared" si="3"/>
        <v>0</v>
      </c>
    </row>
    <row r="25" s="13" customFormat="1" ht="25" customHeight="1" spans="1:30">
      <c r="A25" s="24">
        <v>9</v>
      </c>
      <c r="B25" s="24" t="s">
        <v>40</v>
      </c>
      <c r="C25" s="24">
        <v>752</v>
      </c>
      <c r="D25" s="24">
        <v>282</v>
      </c>
      <c r="E25" s="33">
        <v>81</v>
      </c>
      <c r="F25" s="33">
        <f>E25-G25-H25-I25</f>
        <v>20</v>
      </c>
      <c r="G25" s="34">
        <v>4</v>
      </c>
      <c r="H25" s="34">
        <v>54</v>
      </c>
      <c r="I25" s="33">
        <v>3</v>
      </c>
      <c r="J25" s="24">
        <f>L25+O25+Q26</f>
        <v>22</v>
      </c>
      <c r="K25" s="38">
        <f>M25+P25+R26</f>
        <v>146379.26</v>
      </c>
      <c r="L25" s="32">
        <v>18</v>
      </c>
      <c r="M25" s="43">
        <f>L25*6*1199.83</f>
        <v>129581.64</v>
      </c>
      <c r="N25" s="24" t="s">
        <v>58</v>
      </c>
      <c r="O25" s="24">
        <v>3</v>
      </c>
      <c r="P25" s="24">
        <f>O25*4*1199.83</f>
        <v>14397.96</v>
      </c>
      <c r="Q25" s="24"/>
      <c r="R25" s="24"/>
      <c r="S25" s="46">
        <f>F25+G25</f>
        <v>24</v>
      </c>
      <c r="T25" s="46">
        <f t="shared" si="1"/>
        <v>42</v>
      </c>
      <c r="U25" s="13">
        <f t="shared" si="2"/>
        <v>49.35</v>
      </c>
      <c r="V25" s="47">
        <v>49</v>
      </c>
      <c r="AB25" s="47">
        <v>49</v>
      </c>
      <c r="AC25" s="52" t="s">
        <v>59</v>
      </c>
      <c r="AD25" s="51">
        <f t="shared" si="3"/>
        <v>18.2777777777778</v>
      </c>
    </row>
    <row r="26" s="13" customFormat="1" ht="25" customHeight="1" spans="1:30">
      <c r="A26" s="24"/>
      <c r="B26" s="24"/>
      <c r="C26" s="24"/>
      <c r="D26" s="24"/>
      <c r="E26" s="33"/>
      <c r="F26" s="33"/>
      <c r="G26" s="34"/>
      <c r="H26" s="34"/>
      <c r="I26" s="33"/>
      <c r="J26" s="24"/>
      <c r="K26" s="38"/>
      <c r="L26" s="32"/>
      <c r="M26" s="44"/>
      <c r="N26" s="24" t="s">
        <v>60</v>
      </c>
      <c r="O26" s="24"/>
      <c r="P26" s="24"/>
      <c r="Q26" s="24">
        <v>1</v>
      </c>
      <c r="R26" s="24">
        <f>Q26*2*1199.83</f>
        <v>2399.66</v>
      </c>
      <c r="S26" s="46"/>
      <c r="T26" s="46">
        <f t="shared" si="1"/>
        <v>0</v>
      </c>
      <c r="U26" s="13">
        <f t="shared" si="2"/>
        <v>0</v>
      </c>
      <c r="V26" s="47"/>
      <c r="AB26" s="47"/>
      <c r="AD26" s="51">
        <f t="shared" si="3"/>
        <v>0</v>
      </c>
    </row>
    <row r="27" s="13" customFormat="1" ht="25" customHeight="1" spans="1:30">
      <c r="A27" s="24" t="s">
        <v>61</v>
      </c>
      <c r="B27" s="24"/>
      <c r="C27" s="24">
        <f t="shared" ref="C27:L27" si="6">SUM(C7:C26)</f>
        <v>11142</v>
      </c>
      <c r="D27" s="24">
        <f t="shared" si="6"/>
        <v>2778</v>
      </c>
      <c r="E27" s="24">
        <f t="shared" si="6"/>
        <v>414</v>
      </c>
      <c r="F27" s="24">
        <f t="shared" si="6"/>
        <v>143</v>
      </c>
      <c r="G27" s="24">
        <f t="shared" si="6"/>
        <v>68</v>
      </c>
      <c r="H27" s="32">
        <f t="shared" si="6"/>
        <v>190</v>
      </c>
      <c r="I27" s="32">
        <f t="shared" si="6"/>
        <v>13</v>
      </c>
      <c r="J27" s="24">
        <f t="shared" si="6"/>
        <v>309</v>
      </c>
      <c r="K27" s="38">
        <f t="shared" si="6"/>
        <v>1972520.52</v>
      </c>
      <c r="L27" s="24">
        <f t="shared" si="6"/>
        <v>241</v>
      </c>
      <c r="M27" s="32">
        <f>L27*6*1199.83</f>
        <v>1734954.18</v>
      </c>
      <c r="N27" s="24">
        <f>SUM(O7:O25)</f>
        <v>62</v>
      </c>
      <c r="O27" s="24"/>
      <c r="P27" s="24">
        <f>SUM(P7:P26)</f>
        <v>225568.04</v>
      </c>
      <c r="Q27" s="24">
        <f>SUM(Q7:Q26)</f>
        <v>6</v>
      </c>
      <c r="R27" s="50">
        <f>SUM(R7:R26)</f>
        <v>11998.3</v>
      </c>
      <c r="S27" s="46">
        <f>F27+G27</f>
        <v>211</v>
      </c>
      <c r="T27" s="46">
        <f t="shared" si="1"/>
        <v>452</v>
      </c>
      <c r="U27" s="13">
        <v>650</v>
      </c>
      <c r="V27" s="47">
        <f>SUM(V7:V26)</f>
        <v>654</v>
      </c>
      <c r="AC27" s="53">
        <f>650-E27</f>
        <v>236</v>
      </c>
      <c r="AD27" s="51">
        <f>SUM(AD7:AD26)</f>
        <v>242.288888888889</v>
      </c>
    </row>
    <row r="28" spans="13:13">
      <c r="M28" s="16">
        <f>M27+P27+R27</f>
        <v>1972520.52</v>
      </c>
    </row>
  </sheetData>
  <mergeCells count="96">
    <mergeCell ref="A2:R2"/>
    <mergeCell ref="O3:R3"/>
    <mergeCell ref="J4:Q4"/>
    <mergeCell ref="F5:I5"/>
    <mergeCell ref="N5:P5"/>
    <mergeCell ref="A27:B27"/>
    <mergeCell ref="N27:O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L5:L6"/>
    <mergeCell ref="L7:L8"/>
    <mergeCell ref="L9:L10"/>
    <mergeCell ref="L13:L16"/>
    <mergeCell ref="L18:L20"/>
    <mergeCell ref="L21:L24"/>
    <mergeCell ref="L25:L26"/>
    <mergeCell ref="M5:M6"/>
    <mergeCell ref="M7:M8"/>
    <mergeCell ref="M9:M10"/>
    <mergeCell ref="Q5:Q6"/>
    <mergeCell ref="R4:R6"/>
    <mergeCell ref="V7:V8"/>
    <mergeCell ref="V9:V10"/>
    <mergeCell ref="V13:V16"/>
    <mergeCell ref="V18:V20"/>
    <mergeCell ref="V21:V24"/>
    <mergeCell ref="V25:V26"/>
    <mergeCell ref="AB7:AB8"/>
    <mergeCell ref="AB9:AB10"/>
    <mergeCell ref="AB13:AB16"/>
    <mergeCell ref="AB18:AB20"/>
    <mergeCell ref="AB21:AB24"/>
    <mergeCell ref="AB25:AB26"/>
    <mergeCell ref="C4:D5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&amp;C- &amp;P+8 -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view="pageBreakPreview" zoomScaleNormal="100" zoomScaleSheetLayoutView="100" workbookViewId="0">
      <selection activeCell="E20" sqref="E20"/>
    </sheetView>
  </sheetViews>
  <sheetFormatPr defaultColWidth="9" defaultRowHeight="13.5"/>
  <cols>
    <col min="1" max="1" width="9" style="1"/>
    <col min="2" max="2" width="12.875" style="1" customWidth="1"/>
    <col min="3" max="3" width="12" style="1" customWidth="1"/>
    <col min="4" max="4" width="9" style="1"/>
    <col min="5" max="5" width="23.75" style="1" customWidth="1"/>
    <col min="6" max="6" width="16.375" style="1" customWidth="1"/>
    <col min="7" max="7" width="12.125" style="1" customWidth="1"/>
    <col min="8" max="8" width="17.25" style="1" customWidth="1"/>
    <col min="9" max="9" width="20" style="1" customWidth="1"/>
    <col min="10" max="16383" width="9" style="1"/>
  </cols>
  <sheetData>
    <row r="1" ht="25" customHeight="1" spans="1:9">
      <c r="A1" s="2" t="s">
        <v>62</v>
      </c>
      <c r="B1" s="3"/>
      <c r="C1" s="3"/>
      <c r="D1" s="3"/>
      <c r="E1" s="3"/>
      <c r="F1" s="3"/>
      <c r="G1" s="3"/>
      <c r="H1" s="3"/>
      <c r="I1" s="3"/>
    </row>
    <row r="2" ht="35" customHeight="1" spans="1:9">
      <c r="A2" s="4" t="s">
        <v>63</v>
      </c>
      <c r="B2" s="4"/>
      <c r="C2" s="4"/>
      <c r="D2" s="4"/>
      <c r="E2" s="4"/>
      <c r="F2" s="4"/>
      <c r="G2" s="4"/>
      <c r="H2" s="4"/>
      <c r="I2" s="4"/>
    </row>
    <row r="3" ht="31" customHeight="1" spans="1:9">
      <c r="A3" s="5" t="s">
        <v>3</v>
      </c>
      <c r="B3" s="5" t="s">
        <v>4</v>
      </c>
      <c r="C3" s="5" t="s">
        <v>21</v>
      </c>
      <c r="D3" s="5" t="s">
        <v>64</v>
      </c>
      <c r="E3" s="5" t="s">
        <v>65</v>
      </c>
      <c r="F3" s="6" t="s">
        <v>66</v>
      </c>
      <c r="G3" s="6" t="s">
        <v>67</v>
      </c>
      <c r="H3" s="6" t="s">
        <v>68</v>
      </c>
      <c r="I3" s="11" t="s">
        <v>69</v>
      </c>
    </row>
    <row r="4" ht="22" customHeight="1" spans="1:9">
      <c r="A4" s="7">
        <v>1</v>
      </c>
      <c r="B4" s="7"/>
      <c r="C4" s="7"/>
      <c r="D4" s="8"/>
      <c r="E4" s="9"/>
      <c r="F4" s="7"/>
      <c r="G4" s="7"/>
      <c r="H4" s="7"/>
      <c r="I4" s="12"/>
    </row>
    <row r="5" ht="22" customHeight="1" spans="1:9">
      <c r="A5" s="7">
        <v>2</v>
      </c>
      <c r="B5" s="7"/>
      <c r="C5" s="7"/>
      <c r="D5" s="8"/>
      <c r="E5" s="9"/>
      <c r="F5" s="7"/>
      <c r="G5" s="7"/>
      <c r="H5" s="7"/>
      <c r="I5" s="12"/>
    </row>
    <row r="6" ht="22" customHeight="1" spans="1:9">
      <c r="A6" s="7">
        <v>3</v>
      </c>
      <c r="B6" s="7"/>
      <c r="C6" s="7"/>
      <c r="D6" s="8"/>
      <c r="E6" s="9"/>
      <c r="F6" s="7"/>
      <c r="G6" s="7"/>
      <c r="H6" s="7"/>
      <c r="I6" s="12"/>
    </row>
    <row r="7" ht="22" customHeight="1" spans="1:9">
      <c r="A7" s="7">
        <v>4</v>
      </c>
      <c r="B7" s="7"/>
      <c r="C7" s="7"/>
      <c r="D7" s="8"/>
      <c r="E7" s="9"/>
      <c r="F7" s="7"/>
      <c r="G7" s="7"/>
      <c r="H7" s="7"/>
      <c r="I7" s="12"/>
    </row>
    <row r="8" ht="22" customHeight="1" spans="1:9">
      <c r="A8" s="7">
        <v>5</v>
      </c>
      <c r="B8" s="7"/>
      <c r="C8" s="7"/>
      <c r="D8" s="8"/>
      <c r="E8" s="9"/>
      <c r="F8" s="7"/>
      <c r="G8" s="7"/>
      <c r="H8" s="7"/>
      <c r="I8" s="12"/>
    </row>
    <row r="9" ht="22" customHeight="1" spans="1:9">
      <c r="A9" s="7">
        <v>6</v>
      </c>
      <c r="B9" s="7"/>
      <c r="C9" s="7"/>
      <c r="D9" s="8"/>
      <c r="E9" s="9"/>
      <c r="F9" s="7"/>
      <c r="G9" s="7"/>
      <c r="H9" s="7"/>
      <c r="I9" s="12"/>
    </row>
    <row r="10" ht="22" customHeight="1" spans="1:9">
      <c r="A10" s="7">
        <v>7</v>
      </c>
      <c r="B10" s="7"/>
      <c r="C10" s="7"/>
      <c r="D10" s="8"/>
      <c r="E10" s="9"/>
      <c r="F10" s="7"/>
      <c r="G10" s="7"/>
      <c r="H10" s="7"/>
      <c r="I10" s="12"/>
    </row>
    <row r="11" ht="22" customHeight="1" spans="1:9">
      <c r="A11" s="7">
        <v>8</v>
      </c>
      <c r="B11" s="7"/>
      <c r="C11" s="7"/>
      <c r="D11" s="8"/>
      <c r="E11" s="9"/>
      <c r="F11" s="7"/>
      <c r="G11" s="7"/>
      <c r="H11" s="7"/>
      <c r="I11" s="12"/>
    </row>
    <row r="12" ht="22" customHeight="1" spans="1:9">
      <c r="A12" s="7">
        <v>9</v>
      </c>
      <c r="B12" s="7"/>
      <c r="C12" s="7"/>
      <c r="D12" s="8"/>
      <c r="E12" s="9"/>
      <c r="F12" s="7"/>
      <c r="G12" s="7"/>
      <c r="H12" s="7"/>
      <c r="I12" s="12"/>
    </row>
    <row r="13" ht="22" customHeight="1" spans="1:9">
      <c r="A13" s="7">
        <v>10</v>
      </c>
      <c r="B13" s="7"/>
      <c r="C13" s="7"/>
      <c r="D13" s="8"/>
      <c r="E13" s="9"/>
      <c r="F13" s="7"/>
      <c r="G13" s="7"/>
      <c r="H13" s="7"/>
      <c r="I13" s="12"/>
    </row>
    <row r="14" ht="132" customHeight="1" spans="1:9">
      <c r="A14" s="10" t="s">
        <v>70</v>
      </c>
      <c r="B14" s="10"/>
      <c r="C14" s="10"/>
      <c r="D14" s="10"/>
      <c r="E14" s="10"/>
      <c r="F14" s="10"/>
      <c r="G14" s="10"/>
      <c r="H14" s="10"/>
      <c r="I14" s="10"/>
    </row>
  </sheetData>
  <mergeCells count="2">
    <mergeCell ref="A2:I2"/>
    <mergeCell ref="A14:I1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&amp;C&amp;14-11-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(2023年工资预算)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宋是仑</cp:lastModifiedBy>
  <dcterms:created xsi:type="dcterms:W3CDTF">2022-12-08T09:53:00Z</dcterms:created>
  <dcterms:modified xsi:type="dcterms:W3CDTF">2023-07-05T07:22:13Z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144A08F3B94E489881B6429BAAB5625A_13</vt:lpwstr>
  </property>
</Properties>
</file>